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oup\admin\Budget forms 2022\2022 Website\3. AODA Working File\"/>
    </mc:Choice>
  </mc:AlternateContent>
  <bookViews>
    <workbookView xWindow="0" yWindow="0" windowWidth="28800" windowHeight="13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O19" i="1"/>
  <c r="N19" i="1"/>
  <c r="M19" i="1"/>
  <c r="L19" i="1"/>
  <c r="K19" i="1"/>
  <c r="J19" i="1"/>
  <c r="I19" i="1"/>
  <c r="Q19" i="1" s="1"/>
  <c r="H19" i="1"/>
  <c r="G19" i="1"/>
  <c r="F19" i="1"/>
  <c r="E19" i="1"/>
  <c r="O18" i="1"/>
  <c r="N18" i="1"/>
  <c r="M18" i="1"/>
  <c r="L18" i="1"/>
  <c r="K18" i="1"/>
  <c r="J18" i="1"/>
  <c r="I18" i="1"/>
  <c r="H18" i="1"/>
  <c r="G18" i="1"/>
  <c r="F18" i="1"/>
  <c r="E18" i="1"/>
  <c r="O17" i="1"/>
  <c r="N17" i="1"/>
  <c r="M17" i="1"/>
  <c r="K17" i="1"/>
  <c r="E17" i="1"/>
  <c r="P16" i="1"/>
  <c r="O16" i="1"/>
  <c r="N16" i="1"/>
  <c r="M16" i="1"/>
  <c r="L16" i="1"/>
  <c r="K16" i="1"/>
  <c r="J16" i="1"/>
  <c r="I16" i="1"/>
  <c r="H16" i="1"/>
  <c r="G16" i="1"/>
  <c r="F16" i="1"/>
  <c r="D16" i="1"/>
  <c r="C16" i="1"/>
  <c r="P15" i="1"/>
  <c r="E15" i="1"/>
  <c r="D15" i="1"/>
  <c r="C15" i="1"/>
  <c r="D10" i="1"/>
  <c r="C10" i="1"/>
  <c r="B10" i="1"/>
  <c r="Q9" i="1"/>
  <c r="P9" i="1"/>
  <c r="Q8" i="1"/>
  <c r="P8" i="1"/>
  <c r="P7" i="1"/>
  <c r="L7" i="1"/>
  <c r="L17" i="1" s="1"/>
  <c r="K7" i="1"/>
  <c r="J7" i="1"/>
  <c r="J17" i="1" s="1"/>
  <c r="I7" i="1"/>
  <c r="I17" i="1" s="1"/>
  <c r="H7" i="1"/>
  <c r="H17" i="1" s="1"/>
  <c r="G7" i="1"/>
  <c r="G17" i="1" s="1"/>
  <c r="F7" i="1"/>
  <c r="Q7" i="1" s="1"/>
  <c r="Q6" i="1"/>
  <c r="P6" i="1"/>
  <c r="E6" i="1"/>
  <c r="E16" i="1" s="1"/>
  <c r="O5" i="1"/>
  <c r="O15" i="1" s="1"/>
  <c r="O20" i="1" s="1"/>
  <c r="N5" i="1"/>
  <c r="N10" i="1" s="1"/>
  <c r="M5" i="1"/>
  <c r="L5" i="1"/>
  <c r="M15" i="1" s="1"/>
  <c r="K5" i="1"/>
  <c r="K15" i="1" s="1"/>
  <c r="K20" i="1" s="1"/>
  <c r="J5" i="1"/>
  <c r="I5" i="1"/>
  <c r="J15" i="1" s="1"/>
  <c r="H5" i="1"/>
  <c r="I15" i="1" s="1"/>
  <c r="I20" i="1" s="1"/>
  <c r="G5" i="1"/>
  <c r="G10" i="1" s="1"/>
  <c r="F5" i="1"/>
  <c r="F15" i="1" s="1"/>
  <c r="E5" i="1"/>
  <c r="Q4" i="1"/>
  <c r="O4" i="1"/>
  <c r="N4" i="1"/>
  <c r="M4" i="1"/>
  <c r="M10" i="1" s="1"/>
  <c r="L4" i="1"/>
  <c r="L10" i="1" s="1"/>
  <c r="K4" i="1"/>
  <c r="K10" i="1" s="1"/>
  <c r="J4" i="1"/>
  <c r="J10" i="1" s="1"/>
  <c r="I4" i="1"/>
  <c r="I10" i="1" s="1"/>
  <c r="H4" i="1"/>
  <c r="G4" i="1"/>
  <c r="E4" i="1"/>
  <c r="E10" i="1" s="1"/>
  <c r="Q16" i="1" l="1"/>
  <c r="Q18" i="1"/>
  <c r="J20" i="1"/>
  <c r="D20" i="1"/>
  <c r="M20" i="1"/>
  <c r="E20" i="1"/>
  <c r="F10" i="1"/>
  <c r="O10" i="1"/>
  <c r="H15" i="1"/>
  <c r="H20" i="1" s="1"/>
  <c r="H10" i="1"/>
  <c r="Q5" i="1"/>
  <c r="Q10" i="1" s="1"/>
  <c r="G15" i="1"/>
  <c r="G20" i="1" s="1"/>
  <c r="F17" i="1"/>
  <c r="Q17" i="1" s="1"/>
  <c r="P5" i="1"/>
  <c r="P4" i="1"/>
  <c r="L15" i="1"/>
  <c r="L20" i="1" s="1"/>
  <c r="P17" i="1"/>
  <c r="P18" i="1" s="1"/>
  <c r="N15" i="1"/>
  <c r="N20" i="1" s="1"/>
  <c r="P19" i="1" l="1"/>
  <c r="P20" i="1"/>
  <c r="P10" i="1"/>
  <c r="Q15" i="1"/>
  <c r="F20" i="1"/>
  <c r="Q20" i="1" s="1"/>
</calcChain>
</file>

<file path=xl/comments1.xml><?xml version="1.0" encoding="utf-8"?>
<comments xmlns="http://schemas.openxmlformats.org/spreadsheetml/2006/main">
  <authors>
    <author>Makda Gheysar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Makda Gheysar:</t>
        </r>
        <r>
          <rPr>
            <sz val="9"/>
            <color indexed="81"/>
            <rFont val="Tahoma"/>
            <family val="2"/>
          </rPr>
          <t xml:space="preserve">
$547K - this funding was not required as IT paid for BI and capital paid for global search
</t>
        </r>
      </text>
    </comment>
  </commentList>
</comments>
</file>

<file path=xl/sharedStrings.xml><?xml version="1.0" encoding="utf-8"?>
<sst xmlns="http://schemas.openxmlformats.org/spreadsheetml/2006/main" count="58" uniqueCount="32">
  <si>
    <t>Preliminary 2022-2031 Operating Impact from Capital</t>
  </si>
  <si>
    <t>Project Name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</si>
  <si>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</si>
  <si>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</si>
  <si>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</si>
  <si>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</si>
  <si>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</si>
  <si>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</si>
  <si>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</si>
  <si>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</si>
  <si>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</si>
  <si>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</si>
  <si>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</si>
  <si>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</si>
  <si>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</si>
  <si>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</si>
  <si>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2027-2031 Program</t>
  </si>
  <si>
    <t>2022-2031 Program</t>
  </si>
  <si>
    <t>Body Worn Camera - Phase II</t>
  </si>
  <si>
    <t>Analytics Centre of Excellence (A.N.C.O.E.) (For Global Search)</t>
  </si>
  <si>
    <t xml:space="preserve">Connected/Mobile Officer </t>
  </si>
  <si>
    <t>Next Generation (N.G.) 9-1-1</t>
  </si>
  <si>
    <t>Marine Vessel Electronics</t>
  </si>
  <si>
    <t>Long Term Facility Plan -  Facility and Process Improvement</t>
  </si>
  <si>
    <t>Total Operating Impact</t>
  </si>
  <si>
    <t>Preliminary Incremental Impact 2022-2031 Operating Impact from Capital</t>
  </si>
  <si>
    <t>Total  Incremental Operating Impact</t>
  </si>
  <si>
    <t>Sum</t>
  </si>
  <si>
    <t>Average</t>
  </si>
  <si>
    <t>Running Total</t>
  </si>
  <si>
    <t>Count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</si>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</sst>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;[Red]\(#,##0\)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2" xfId="2" applyFont="1" applyFill="1" applyBorder="1" applyAlignment="1">
      <alignment horizontal="left" vertical="center" wrapText="1"/>
    </xf>
    <xf numFmtId="164" fontId="6" fillId="0" borderId="3" xfId="2" applyNumberFormat="1" applyFont="1" applyFill="1" applyBorder="1" applyAlignment="1">
      <alignment vertical="center" wrapText="1"/>
    </xf>
    <xf numFmtId="164" fontId="6" fillId="0" borderId="4" xfId="2" applyNumberFormat="1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vertical="center"/>
    </xf>
    <xf numFmtId="164" fontId="7" fillId="2" borderId="4" xfId="2" applyNumberFormat="1" applyFont="1" applyFill="1" applyBorder="1" applyAlignment="1">
      <alignment vertical="center" wrapText="1"/>
    </xf>
    <xf numFmtId="0" fontId="2" fillId="3" borderId="0" xfId="1" applyFont="1" applyFill="1" applyAlignment="1">
      <alignment horizontal="center"/>
    </xf>
    <xf numFmtId="0" fontId="0" fillId="3" borderId="0" xfId="0" applyFill="1"/>
    <xf numFmtId="0" fontId="3" fillId="3" borderId="0" xfId="1" applyFont="1" applyFill="1"/>
    <xf numFmtId="0" fontId="4" fillId="3" borderId="0" xfId="1" applyFont="1" applyFill="1" applyAlignment="1">
      <alignment horizontal="center"/>
    </xf>
    <xf numFmtId="164" fontId="3" fillId="3" borderId="0" xfId="1" applyNumberFormat="1" applyFont="1" applyFill="1"/>
    <xf numFmtId="0" fontId="2" fillId="3" borderId="0" xfId="1" applyFont="1" applyFill="1" applyAlignment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164" fontId="6" fillId="0" borderId="6" xfId="2" applyNumberFormat="1" applyFont="1" applyFill="1" applyBorder="1" applyAlignment="1">
      <alignment vertical="center" wrapText="1"/>
    </xf>
    <xf numFmtId="164" fontId="7" fillId="2" borderId="6" xfId="2" applyNumberFormat="1" applyFont="1" applyFill="1" applyBorder="1" applyAlignment="1">
      <alignment vertical="center" wrapText="1"/>
    </xf>
    <xf numFmtId="0" fontId="6" fillId="2" borderId="7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/>
    </xf>
  </cellXfs>
  <cellStyles count="4">
    <cellStyle name="Comma 21" xfId="3"/>
    <cellStyle name="Normal" xfId="0" builtinId="0"/>
    <cellStyle name="Normal 2" xfId="2"/>
    <cellStyle name="Normal 41" xfId="1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\ \ ;[Red]\(#,##0\)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3" displayName="Table3" ref="A3:Q10" totalsRowShown="0" headerRowDxfId="20" dataDxfId="39" headerRowBorderDxfId="40" tableBorderDxfId="38" totalsRowBorderDxfId="41" headerRowCellStyle="Normal 41" dataCellStyle="Normal 2">
  <tableColumns count="17">
    <tableColumn id="1" name="Project Name" dataDxfId="37" dataCellStyle="Normal 2"/>
    <tableColumn id="2" name="2018" dataDxfId="36" dataCellStyle="Normal 2"/>
    <tableColumn id="3" name="2019" dataDxfId="35" dataCellStyle="Normal 2"/>
    <tableColumn id="4" name="2020" dataDxfId="34" dataCellStyle="Normal 2"/>
    <tableColumn id="5" name="2021" dataDxfId="33" dataCellStyle="Normal 2"/>
    <tableColumn id="6" name="2022" dataDxfId="32" dataCellStyle="Normal 2"/>
    <tableColumn id="7" name="2023" dataDxfId="31" dataCellStyle="Normal 2"/>
    <tableColumn id="8" name="2024" dataDxfId="30" dataCellStyle="Normal 2"/>
    <tableColumn id="9" name="2025" dataDxfId="29" dataCellStyle="Normal 2"/>
    <tableColumn id="10" name="2026" dataDxfId="28" dataCellStyle="Normal 2"/>
    <tableColumn id="11" name="2027" dataDxfId="27" dataCellStyle="Normal 2"/>
    <tableColumn id="12" name="2028" dataDxfId="26" dataCellStyle="Normal 2"/>
    <tableColumn id="13" name="2029" dataDxfId="25" dataCellStyle="Normal 2"/>
    <tableColumn id="14" name="2030" dataDxfId="24" dataCellStyle="Normal 2"/>
    <tableColumn id="15" name="2031" dataDxfId="23" dataCellStyle="Normal 2"/>
    <tableColumn id="16" name="2027-2031 Program" dataDxfId="22" dataCellStyle="Normal 2">
      <calculatedColumnFormula>SUM(Table3[[#This Row],[2027]:[2031]])</calculatedColumnFormula>
    </tableColumn>
    <tableColumn id="17" name="2022-2031 Program" dataDxfId="21" dataCellStyle="Normal 2">
      <calculatedColumnFormula>SUM(Table3[[#This Row],[2022]:[2031]])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 1" altTextSummary="Table 1 provides preliminary 2022-2031 operating impact from capital"/>
    </ext>
  </extLst>
</table>
</file>

<file path=xl/tables/table2.xml><?xml version="1.0" encoding="utf-8"?>
<table xmlns="http://schemas.openxmlformats.org/spreadsheetml/2006/main" id="2" name="Table35" displayName="Table35" ref="A14:Q20" totalsRowShown="0" headerRowDxfId="0" dataDxfId="1" headerRowBorderDxfId="19" tableBorderDxfId="44" totalsRowBorderDxfId="43" headerRowCellStyle="Normal 41" dataCellStyle="Normal 2">
  <tableColumns count="17">
    <tableColumn id="1" name="Project Name" dataDxfId="18" dataCellStyle="Normal 2"/>
    <tableColumn id="2" name="2018" dataDxfId="17" dataCellStyle="Normal 2"/>
    <tableColumn id="3" name="2019" dataDxfId="16" dataCellStyle="Normal 2"/>
    <tableColumn id="4" name="2020" dataDxfId="15" dataCellStyle="Normal 2"/>
    <tableColumn id="5" name="2021" dataDxfId="14" dataCellStyle="Normal 2"/>
    <tableColumn id="6" name="2022" dataDxfId="13" dataCellStyle="Normal 2"/>
    <tableColumn id="7" name="2023" dataDxfId="12" dataCellStyle="Normal 2"/>
    <tableColumn id="8" name="2024" dataDxfId="11" dataCellStyle="Normal 2"/>
    <tableColumn id="9" name="2025" dataDxfId="10" dataCellStyle="Normal 2"/>
    <tableColumn id="10" name="2026" dataDxfId="9" dataCellStyle="Normal 2"/>
    <tableColumn id="11" name="2027" dataDxfId="8" dataCellStyle="Normal 2"/>
    <tableColumn id="12" name="2028" dataDxfId="7" dataCellStyle="Normal 2"/>
    <tableColumn id="13" name="2029" dataDxfId="6" dataCellStyle="Normal 2"/>
    <tableColumn id="14" name="2030" dataDxfId="5" dataCellStyle="Normal 2"/>
    <tableColumn id="15" name="2031" dataDxfId="4" dataCellStyle="Normal 2"/>
    <tableColumn id="16" name="2027-2031 Program" dataDxfId="3" dataCellStyle="Normal 2">
      <calculatedColumnFormula>SUBTOTAL(109,P10:P14)</calculatedColumnFormula>
    </tableColumn>
    <tableColumn id="17" name="2022-2031 Program" dataDxfId="2" dataCellStyle="Normal 2">
      <calculatedColumnFormula>SUM(Table35[[#This Row],[2022]:[2031]])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 2" altTextSummary="Table provides preliminary incremental impacts from 2022 to 2031 operating impact from capital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H5" sqref="H5"/>
    </sheetView>
  </sheetViews>
  <sheetFormatPr defaultRowHeight="14.5" x14ac:dyDescent="0.35"/>
  <cols>
    <col min="1" max="1" width="30" style="9" customWidth="1"/>
    <col min="2" max="5" width="0" style="9" hidden="1" customWidth="1"/>
    <col min="6" max="10" width="11.54296875" style="9" customWidth="1"/>
    <col min="11" max="15" width="11.54296875" style="9" hidden="1" customWidth="1"/>
    <col min="16" max="17" width="11.54296875" style="9" customWidth="1"/>
    <col min="18" max="16384" width="8.7265625" style="9"/>
  </cols>
  <sheetData>
    <row r="1" spans="1:17" ht="20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.5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</row>
    <row r="3" spans="1:17" ht="31" x14ac:dyDescent="0.35">
      <c r="A3" s="19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5" t="s">
        <v>16</v>
      </c>
      <c r="Q3" s="18" t="s">
        <v>17</v>
      </c>
    </row>
    <row r="4" spans="1:17" ht="31" x14ac:dyDescent="0.35">
      <c r="A4" s="1" t="s">
        <v>18</v>
      </c>
      <c r="B4" s="2"/>
      <c r="C4" s="2"/>
      <c r="D4" s="2">
        <v>2500</v>
      </c>
      <c r="E4" s="2">
        <f>5200-1400</f>
        <v>3800</v>
      </c>
      <c r="F4" s="2">
        <v>3800</v>
      </c>
      <c r="G4" s="2">
        <f>3800</f>
        <v>3800</v>
      </c>
      <c r="H4" s="2">
        <f>3800</f>
        <v>3800</v>
      </c>
      <c r="I4" s="2">
        <f>3800</f>
        <v>3800</v>
      </c>
      <c r="J4" s="2">
        <f>3800</f>
        <v>3800</v>
      </c>
      <c r="K4" s="2">
        <f>3800</f>
        <v>3800</v>
      </c>
      <c r="L4" s="2">
        <f>3800</f>
        <v>3800</v>
      </c>
      <c r="M4" s="2">
        <f>3800</f>
        <v>3800</v>
      </c>
      <c r="N4" s="2">
        <f>3800</f>
        <v>3800</v>
      </c>
      <c r="O4" s="2">
        <f>3800</f>
        <v>3800</v>
      </c>
      <c r="P4" s="2">
        <f>SUM(Table3[[#This Row],[2027]:[2031]])</f>
        <v>19000</v>
      </c>
      <c r="Q4" s="16">
        <f>SUM(Table3[[#This Row],[2022]:[2031]])</f>
        <v>38000</v>
      </c>
    </row>
    <row r="5" spans="1:17" ht="46.5" x14ac:dyDescent="0.35">
      <c r="A5" s="4" t="s">
        <v>19</v>
      </c>
      <c r="B5" s="2"/>
      <c r="C5" s="2">
        <v>17</v>
      </c>
      <c r="D5" s="2">
        <v>0</v>
      </c>
      <c r="E5" s="2">
        <f>150+125</f>
        <v>275</v>
      </c>
      <c r="F5" s="2">
        <f>466.3*1.0176+150+125</f>
        <v>749.50688000000002</v>
      </c>
      <c r="G5" s="2">
        <f t="shared" ref="G5:O5" si="0">466.3*1.0176+150+125</f>
        <v>749.50688000000002</v>
      </c>
      <c r="H5" s="2">
        <f t="shared" si="0"/>
        <v>749.50688000000002</v>
      </c>
      <c r="I5" s="2">
        <f t="shared" si="0"/>
        <v>749.50688000000002</v>
      </c>
      <c r="J5" s="2">
        <f t="shared" si="0"/>
        <v>749.50688000000002</v>
      </c>
      <c r="K5" s="2">
        <f t="shared" si="0"/>
        <v>749.50688000000002</v>
      </c>
      <c r="L5" s="2">
        <f t="shared" si="0"/>
        <v>749.50688000000002</v>
      </c>
      <c r="M5" s="2">
        <f t="shared" si="0"/>
        <v>749.50688000000002</v>
      </c>
      <c r="N5" s="2">
        <f t="shared" si="0"/>
        <v>749.50688000000002</v>
      </c>
      <c r="O5" s="2">
        <f t="shared" si="0"/>
        <v>749.50688000000002</v>
      </c>
      <c r="P5" s="2">
        <f>SUM(Table3[[#This Row],[2027]:[2031]])</f>
        <v>3747.5344</v>
      </c>
      <c r="Q5" s="16">
        <f>SUM(Table3[[#This Row],[2022]:[2031]])</f>
        <v>7495.0688</v>
      </c>
    </row>
    <row r="6" spans="1:17" ht="15.5" x14ac:dyDescent="0.35">
      <c r="A6" s="1" t="s">
        <v>20</v>
      </c>
      <c r="B6" s="2">
        <v>410</v>
      </c>
      <c r="C6" s="2">
        <v>717</v>
      </c>
      <c r="D6" s="2">
        <v>927.2</v>
      </c>
      <c r="E6" s="2">
        <f>927.2</f>
        <v>927.2</v>
      </c>
      <c r="F6" s="2">
        <v>3013.6</v>
      </c>
      <c r="G6" s="2">
        <v>3708.9</v>
      </c>
      <c r="H6" s="2">
        <v>3708.9</v>
      </c>
      <c r="I6" s="2">
        <v>3708.9</v>
      </c>
      <c r="J6" s="2">
        <v>3708.9</v>
      </c>
      <c r="K6" s="2">
        <v>3708.9</v>
      </c>
      <c r="L6" s="2">
        <v>3708.9</v>
      </c>
      <c r="M6" s="2">
        <v>3708.9</v>
      </c>
      <c r="N6" s="2">
        <v>3708.9</v>
      </c>
      <c r="O6" s="2">
        <v>3708.9</v>
      </c>
      <c r="P6" s="2">
        <f>SUM(Table3[[#This Row],[2027]:[2031]])</f>
        <v>18544.5</v>
      </c>
      <c r="Q6" s="16">
        <f>SUM(Table3[[#This Row],[2022]:[2031]])</f>
        <v>36393.700000000004</v>
      </c>
    </row>
    <row r="7" spans="1:17" ht="15.5" x14ac:dyDescent="0.35">
      <c r="A7" s="1" t="s">
        <v>21</v>
      </c>
      <c r="B7" s="2"/>
      <c r="C7" s="2"/>
      <c r="D7" s="2"/>
      <c r="E7" s="2"/>
      <c r="F7" s="2">
        <f>(140564.12*1.0176)/1000</f>
        <v>143.03804851200002</v>
      </c>
      <c r="G7" s="2">
        <f>360+(144781.12*1.0176)/1000</f>
        <v>507.32926771199999</v>
      </c>
      <c r="H7" s="2">
        <f>360+(149124.12*1.0176)/1000</f>
        <v>511.74870451200002</v>
      </c>
      <c r="I7" s="2">
        <f>360+(153596.12*1.0176)/1000</f>
        <v>516.29941171199994</v>
      </c>
      <c r="J7" s="2">
        <f>360+(158205.12*1.0176)/1000</f>
        <v>520.98953011200001</v>
      </c>
      <c r="K7" s="2">
        <f>360+(162954.12*1.0176)/1000</f>
        <v>525.82211251199999</v>
      </c>
      <c r="L7" s="2">
        <f>360+(82086.12*1.0176)/1000</f>
        <v>443.530835712</v>
      </c>
      <c r="M7" s="2">
        <v>360</v>
      </c>
      <c r="N7" s="2">
        <v>360</v>
      </c>
      <c r="O7" s="2">
        <v>360</v>
      </c>
      <c r="P7" s="2">
        <f>SUM(Table3[[#This Row],[2027]:[2031]])</f>
        <v>2049.3529482240001</v>
      </c>
      <c r="Q7" s="16">
        <f>SUM(Table3[[#This Row],[2022]:[2031]])</f>
        <v>4248.7579107840002</v>
      </c>
    </row>
    <row r="8" spans="1:17" ht="15.5" x14ac:dyDescent="0.35">
      <c r="A8" s="5" t="s">
        <v>22</v>
      </c>
      <c r="B8" s="3"/>
      <c r="C8" s="3"/>
      <c r="D8" s="3"/>
      <c r="E8" s="3"/>
      <c r="F8" s="3">
        <v>50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 s="3">
        <v>50</v>
      </c>
      <c r="N8" s="3">
        <v>50</v>
      </c>
      <c r="O8" s="3">
        <v>50</v>
      </c>
      <c r="P8" s="3">
        <f>SUM(Table3[[#This Row],[2027]:[2031]])</f>
        <v>250</v>
      </c>
      <c r="Q8" s="16">
        <f>SUM(Table3[[#This Row],[2022]:[2031]])</f>
        <v>500</v>
      </c>
    </row>
    <row r="9" spans="1:17" ht="46.5" x14ac:dyDescent="0.35">
      <c r="A9" s="5" t="s">
        <v>23</v>
      </c>
      <c r="B9" s="3"/>
      <c r="C9" s="3"/>
      <c r="D9" s="3"/>
      <c r="E9" s="3"/>
      <c r="F9" s="3"/>
      <c r="G9" s="3">
        <v>113</v>
      </c>
      <c r="H9" s="3">
        <v>113</v>
      </c>
      <c r="I9" s="3">
        <v>113</v>
      </c>
      <c r="J9" s="3">
        <v>113</v>
      </c>
      <c r="K9" s="3">
        <v>113</v>
      </c>
      <c r="L9" s="3">
        <v>113</v>
      </c>
      <c r="M9" s="3">
        <v>113</v>
      </c>
      <c r="N9" s="3">
        <v>113</v>
      </c>
      <c r="O9" s="3">
        <v>113</v>
      </c>
      <c r="P9" s="3">
        <f>SUM(Table3[[#This Row],[2027]:[2031]])</f>
        <v>565</v>
      </c>
      <c r="Q9" s="16">
        <f>SUM(Table3[[#This Row],[2022]:[2031]])</f>
        <v>1017</v>
      </c>
    </row>
    <row r="10" spans="1:17" ht="15.5" x14ac:dyDescent="0.35">
      <c r="A10" s="6" t="s">
        <v>24</v>
      </c>
      <c r="B10" s="7">
        <f>SUBTOTAL(109,B4:B6)</f>
        <v>410</v>
      </c>
      <c r="C10" s="7">
        <f>SUBTOTAL(109,C4:C6)</f>
        <v>734</v>
      </c>
      <c r="D10" s="7">
        <f>SUBTOTAL(109,D4:D6)</f>
        <v>3427.2</v>
      </c>
      <c r="E10" s="7">
        <f>SUBTOTAL(109,E4:E9)</f>
        <v>5002.2</v>
      </c>
      <c r="F10" s="7">
        <f>SUBTOTAL(109,F4:F9)</f>
        <v>7756.1449285119998</v>
      </c>
      <c r="G10" s="7">
        <f t="shared" ref="G10:P10" si="1">SUBTOTAL(109,G4:G9)</f>
        <v>8928.7361477120012</v>
      </c>
      <c r="H10" s="7">
        <f t="shared" si="1"/>
        <v>8933.1555845120001</v>
      </c>
      <c r="I10" s="7">
        <f t="shared" si="1"/>
        <v>8937.7062917120002</v>
      </c>
      <c r="J10" s="7">
        <f t="shared" si="1"/>
        <v>8942.396410112</v>
      </c>
      <c r="K10" s="7">
        <f t="shared" si="1"/>
        <v>8947.2289925120003</v>
      </c>
      <c r="L10" s="7">
        <f t="shared" si="1"/>
        <v>8864.9377157119998</v>
      </c>
      <c r="M10" s="7">
        <f t="shared" si="1"/>
        <v>8781.4068800000005</v>
      </c>
      <c r="N10" s="7">
        <f t="shared" si="1"/>
        <v>8781.4068800000005</v>
      </c>
      <c r="O10" s="7">
        <f t="shared" si="1"/>
        <v>8781.4068800000005</v>
      </c>
      <c r="P10" s="7">
        <f t="shared" si="1"/>
        <v>44156.387348224001</v>
      </c>
      <c r="Q10" s="17">
        <f>SUBTOTAL(109,Q4:Q9)</f>
        <v>87654.526710784005</v>
      </c>
    </row>
    <row r="11" spans="1:17" ht="15.5" x14ac:dyDescent="0.35">
      <c r="A11" s="10"/>
      <c r="B11" s="10"/>
      <c r="C11" s="10"/>
      <c r="D11" s="10"/>
      <c r="E11" s="12"/>
      <c r="F11" s="12"/>
      <c r="G11" s="12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20" x14ac:dyDescent="0.4">
      <c r="A12" s="13" t="s">
        <v>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5.5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31" x14ac:dyDescent="0.35">
      <c r="A14" s="14" t="s">
        <v>1</v>
      </c>
      <c r="B14" s="14" t="s">
        <v>2</v>
      </c>
      <c r="C14" s="14" t="s">
        <v>3</v>
      </c>
      <c r="D14" s="14" t="s">
        <v>4</v>
      </c>
      <c r="E14" s="14" t="s">
        <v>5</v>
      </c>
      <c r="F14" s="14" t="s">
        <v>6</v>
      </c>
      <c r="G14" s="14" t="s">
        <v>7</v>
      </c>
      <c r="H14" s="14" t="s">
        <v>8</v>
      </c>
      <c r="I14" s="14" t="s">
        <v>9</v>
      </c>
      <c r="J14" s="14" t="s">
        <v>10</v>
      </c>
      <c r="K14" s="14" t="s">
        <v>11</v>
      </c>
      <c r="L14" s="14" t="s">
        <v>12</v>
      </c>
      <c r="M14" s="14" t="s">
        <v>13</v>
      </c>
      <c r="N14" s="14" t="s">
        <v>14</v>
      </c>
      <c r="O14" s="14" t="s">
        <v>15</v>
      </c>
      <c r="P14" s="15" t="s">
        <v>16</v>
      </c>
      <c r="Q14" s="18" t="s">
        <v>17</v>
      </c>
    </row>
    <row r="15" spans="1:17" ht="46.5" x14ac:dyDescent="0.35">
      <c r="A15" s="1" t="s">
        <v>19</v>
      </c>
      <c r="B15" s="2"/>
      <c r="C15" s="2">
        <f t="shared" ref="C15:O19" si="2">+C5-B5</f>
        <v>17</v>
      </c>
      <c r="D15" s="2">
        <f t="shared" si="2"/>
        <v>-17</v>
      </c>
      <c r="E15" s="2">
        <f t="shared" si="2"/>
        <v>275</v>
      </c>
      <c r="F15" s="2">
        <f t="shared" si="2"/>
        <v>474.50688000000002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2"/>
        <v>0</v>
      </c>
      <c r="M15" s="2">
        <f t="shared" si="2"/>
        <v>0</v>
      </c>
      <c r="N15" s="2">
        <f t="shared" si="2"/>
        <v>0</v>
      </c>
      <c r="O15" s="2">
        <f t="shared" si="2"/>
        <v>0</v>
      </c>
      <c r="P15" s="2">
        <f>SUBTOTAL(109,P11:P14)</f>
        <v>0</v>
      </c>
      <c r="Q15" s="16">
        <f>SUM(Table35[[#This Row],[2022]:[2031]])</f>
        <v>474.50688000000002</v>
      </c>
    </row>
    <row r="16" spans="1:17" ht="15.5" x14ac:dyDescent="0.35">
      <c r="A16" s="4" t="s">
        <v>20</v>
      </c>
      <c r="B16" s="2">
        <v>410</v>
      </c>
      <c r="C16" s="2">
        <f t="shared" si="2"/>
        <v>307</v>
      </c>
      <c r="D16" s="2">
        <f t="shared" si="2"/>
        <v>210.20000000000005</v>
      </c>
      <c r="E16" s="2">
        <f t="shared" si="2"/>
        <v>0</v>
      </c>
      <c r="F16" s="2">
        <f t="shared" si="2"/>
        <v>2086.3999999999996</v>
      </c>
      <c r="G16" s="2">
        <f t="shared" si="2"/>
        <v>695.30000000000018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>SUBTOTAL(109,P12:P15)</f>
        <v>0</v>
      </c>
      <c r="Q16" s="16">
        <f>SUM(Table35[[#This Row],[2022]:[2031]])</f>
        <v>2781.7</v>
      </c>
    </row>
    <row r="17" spans="1:17" ht="15.5" x14ac:dyDescent="0.35">
      <c r="A17" s="1" t="s">
        <v>21</v>
      </c>
      <c r="B17" s="2"/>
      <c r="C17" s="2"/>
      <c r="D17" s="2"/>
      <c r="E17" s="2">
        <f t="shared" si="2"/>
        <v>0</v>
      </c>
      <c r="F17" s="2">
        <f t="shared" si="2"/>
        <v>143.03804851200002</v>
      </c>
      <c r="G17" s="2">
        <f t="shared" si="2"/>
        <v>364.2912192</v>
      </c>
      <c r="H17" s="2">
        <f t="shared" si="2"/>
        <v>4.4194368000000281</v>
      </c>
      <c r="I17" s="2">
        <f t="shared" si="2"/>
        <v>4.5507071999999198</v>
      </c>
      <c r="J17" s="2">
        <f t="shared" si="2"/>
        <v>4.690118400000074</v>
      </c>
      <c r="K17" s="2">
        <f t="shared" si="2"/>
        <v>4.8325823999999784</v>
      </c>
      <c r="L17" s="2">
        <f t="shared" si="2"/>
        <v>-82.291276799999991</v>
      </c>
      <c r="M17" s="2">
        <f t="shared" si="2"/>
        <v>-83.530835711999998</v>
      </c>
      <c r="N17" s="2">
        <f t="shared" si="2"/>
        <v>0</v>
      </c>
      <c r="O17" s="2">
        <f t="shared" si="2"/>
        <v>0</v>
      </c>
      <c r="P17" s="2">
        <f>SUBTOTAL(109,P13:P16)</f>
        <v>0</v>
      </c>
      <c r="Q17" s="16">
        <f>SUM(Table35[[#This Row],[2022]:[2031]])</f>
        <v>360</v>
      </c>
    </row>
    <row r="18" spans="1:17" ht="15.5" x14ac:dyDescent="0.35">
      <c r="A18" s="1" t="s">
        <v>22</v>
      </c>
      <c r="B18" s="2"/>
      <c r="C18" s="2"/>
      <c r="D18" s="2"/>
      <c r="E18" s="2">
        <f t="shared" si="2"/>
        <v>0</v>
      </c>
      <c r="F18" s="2">
        <f t="shared" si="2"/>
        <v>50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 t="shared" si="2"/>
        <v>0</v>
      </c>
      <c r="O18" s="2">
        <f t="shared" si="2"/>
        <v>0</v>
      </c>
      <c r="P18" s="2">
        <f>SUBTOTAL(109,P14:P17)</f>
        <v>0</v>
      </c>
      <c r="Q18" s="16">
        <f>SUM(Table35[[#This Row],[2022]:[2031]])</f>
        <v>50</v>
      </c>
    </row>
    <row r="19" spans="1:17" ht="46.5" x14ac:dyDescent="0.35">
      <c r="A19" s="5" t="s">
        <v>23</v>
      </c>
      <c r="B19" s="3"/>
      <c r="C19" s="3"/>
      <c r="D19" s="3"/>
      <c r="E19" s="3">
        <f t="shared" si="2"/>
        <v>0</v>
      </c>
      <c r="F19" s="3">
        <f t="shared" si="2"/>
        <v>0</v>
      </c>
      <c r="G19" s="3">
        <f t="shared" si="2"/>
        <v>113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3">
        <f>SUBTOTAL(109,P15:P18)</f>
        <v>0</v>
      </c>
      <c r="Q19" s="16">
        <f>SUM(Table35[[#This Row],[2022]:[2031]])</f>
        <v>113</v>
      </c>
    </row>
    <row r="20" spans="1:17" ht="31" x14ac:dyDescent="0.35">
      <c r="A20" s="5" t="s">
        <v>26</v>
      </c>
      <c r="B20" s="3">
        <f>SUBTOTAL(109,B15:B16)</f>
        <v>410</v>
      </c>
      <c r="C20" s="3">
        <f>SUBTOTAL(109,C15:C16)</f>
        <v>324</v>
      </c>
      <c r="D20" s="3">
        <f t="shared" ref="D20:P20" si="3">SUBTOTAL(109,D15:D19)</f>
        <v>193.20000000000005</v>
      </c>
      <c r="E20" s="3">
        <f t="shared" si="3"/>
        <v>275</v>
      </c>
      <c r="F20" s="3">
        <f t="shared" si="3"/>
        <v>2753.9449285119995</v>
      </c>
      <c r="G20" s="3">
        <f t="shared" si="3"/>
        <v>1172.5912192000001</v>
      </c>
      <c r="H20" s="3">
        <f t="shared" si="3"/>
        <v>4.4194368000000281</v>
      </c>
      <c r="I20" s="3">
        <f t="shared" si="3"/>
        <v>4.5507071999999198</v>
      </c>
      <c r="J20" s="3">
        <f t="shared" si="3"/>
        <v>4.690118400000074</v>
      </c>
      <c r="K20" s="3">
        <f t="shared" si="3"/>
        <v>4.8325823999999784</v>
      </c>
      <c r="L20" s="3">
        <f t="shared" si="3"/>
        <v>-82.291276799999991</v>
      </c>
      <c r="M20" s="3">
        <f t="shared" si="3"/>
        <v>-83.530835711999998</v>
      </c>
      <c r="N20" s="3">
        <f t="shared" si="3"/>
        <v>0</v>
      </c>
      <c r="O20" s="3">
        <f t="shared" si="3"/>
        <v>0</v>
      </c>
      <c r="P20" s="3">
        <f t="shared" si="3"/>
        <v>0</v>
      </c>
      <c r="Q20" s="16">
        <f>SUM(Table35[[#This Row],[2022]:[2031]])</f>
        <v>3779.2068799999988</v>
      </c>
    </row>
  </sheetData>
  <mergeCells count="2">
    <mergeCell ref="A1:Q1"/>
    <mergeCell ref="P2:Q2"/>
  </mergeCells>
  <pageMargins left="0.7" right="0.7" top="0.75" bottom="0.75" header="0.3" footer="0.3"/>
  <pageSetup orientation="portrait" horizontalDpi="90" verticalDpi="90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Nathalie</cp:lastModifiedBy>
  <dcterms:created xsi:type="dcterms:W3CDTF">2021-12-17T14:51:42Z</dcterms:created>
  <dcterms:modified xsi:type="dcterms:W3CDTF">2021-12-17T15:07:31Z</dcterms:modified>
</cp:coreProperties>
</file>